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RMD Calculator" sheetId="2" state="visible" r:id="rId2"/>
    <sheet xmlns:r="http://schemas.openxmlformats.org/officeDocument/2006/relationships" name="Upgrade" sheetId="3" state="visible" r:id="rId3"/>
    <sheet xmlns:r="http://schemas.openxmlformats.org/officeDocument/2006/relationships" name="Data" sheetId="4" state="hidden" r:id="rId4"/>
  </sheets>
  <definedNames/>
  <calcPr calcId="124519" calcMode="auto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"/>
  </numFmts>
  <fonts count="19">
    <font>
      <name val="Calibri"/>
      <family val="2"/>
      <color theme="1"/>
      <sz val="11"/>
      <scheme val="minor"/>
    </font>
    <font>
      <name val="Calibri"/>
      <b val="1"/>
      <color rgb="001E3A8A"/>
      <sz val="16"/>
    </font>
    <font>
      <name val="Calibri"/>
      <color rgb="00374151"/>
      <sz val="11"/>
    </font>
    <font>
      <name val="Calibri"/>
      <color rgb="00374151"/>
      <sz val="10"/>
    </font>
    <font>
      <name val="Calibri"/>
      <b val="1"/>
      <color rgb="001E3A8A"/>
      <sz val="12"/>
    </font>
    <font>
      <name val="Calibri"/>
      <b val="1"/>
      <color rgb="0014B8A6"/>
      <sz val="12"/>
    </font>
    <font>
      <name val="Calibri"/>
      <b val="1"/>
      <color rgb="00374151"/>
      <sz val="10"/>
    </font>
    <font>
      <name val="Calibri"/>
      <b val="1"/>
      <color rgb="00EF4444"/>
      <sz val="12"/>
    </font>
    <font>
      <name val="Calibri"/>
      <b val="1"/>
      <color rgb="00888888"/>
      <sz val="9"/>
    </font>
    <font>
      <name val="Calibri"/>
      <b val="1"/>
      <color rgb="00FFFFFF"/>
      <sz val="12"/>
    </font>
    <font>
      <name val="Calibri"/>
      <i val="1"/>
      <color rgb="00888888"/>
      <sz val="9"/>
    </font>
    <font>
      <b val="1"/>
      <color rgb="001E3A8A"/>
      <sz val="12"/>
    </font>
    <font>
      <name val="Calibri"/>
      <color rgb="0014B8A6"/>
      <sz val="10"/>
    </font>
    <font>
      <color rgb="00374151"/>
      <sz val="10"/>
    </font>
    <font>
      <b val="1"/>
      <color rgb="00FFFFFF"/>
      <sz val="10"/>
    </font>
    <font>
      <name val="Calibri"/>
      <b val="1"/>
      <color rgb="0014B8A6"/>
      <sz val="11"/>
    </font>
    <font>
      <name val="Calibri"/>
      <b val="1"/>
      <color rgb="00374151"/>
      <sz val="11"/>
    </font>
    <font>
      <name val="Calibri"/>
      <color rgb="00888888"/>
      <sz val="9"/>
    </font>
    <font>
      <b val="1"/>
    </font>
  </fonts>
  <fills count="6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EF3C7"/>
      </patternFill>
    </fill>
    <fill>
      <patternFill patternType="solid">
        <fgColor rgb="00F3F4F6"/>
      </patternFill>
    </fill>
    <fill>
      <patternFill patternType="solid">
        <fgColor rgb="0010B981"/>
      </patternFill>
    </fill>
  </fills>
  <borders count="6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/>
      <top style="thin">
        <color rgb="00CCCCCC"/>
      </top>
      <bottom style="thin">
        <color rgb="00CCCCCC"/>
      </bottom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0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4" fontId="0" fillId="3" borderId="1" applyAlignment="1" applyProtection="1" pivotButton="0" quotePrefix="0" xfId="0">
      <alignment horizontal="right" vertical="center"/>
      <protection locked="0" hidden="0"/>
    </xf>
    <xf numFmtId="0" fontId="10" fillId="0" borderId="0" applyAlignment="1" pivotButton="0" quotePrefix="0" xfId="0">
      <alignment horizontal="left" vertical="center" wrapText="1"/>
    </xf>
    <xf numFmtId="1" fontId="0" fillId="3" borderId="1" applyAlignment="1" applyProtection="1" pivotButton="0" quotePrefix="0" xfId="0">
      <alignment horizontal="right" vertical="center"/>
      <protection locked="0" hidden="0"/>
    </xf>
    <xf numFmtId="10" fontId="0" fillId="3" borderId="1" applyAlignment="1" applyProtection="1" pivotButton="0" quotePrefix="0" xfId="0">
      <alignment horizontal="right" vertical="center"/>
      <protection locked="0" hidden="0"/>
    </xf>
    <xf numFmtId="1" fontId="0" fillId="4" borderId="1" applyAlignment="1" pivotButton="0" quotePrefix="0" xfId="0">
      <alignment horizontal="right" vertical="center"/>
    </xf>
    <xf numFmtId="165" fontId="0" fillId="4" borderId="1" applyAlignment="1" pivotButton="0" quotePrefix="0" xfId="0">
      <alignment horizontal="right" vertical="center"/>
    </xf>
    <xf numFmtId="164" fontId="11" fillId="4" borderId="1" applyAlignment="1" pivotButton="0" quotePrefix="0" xfId="0">
      <alignment horizontal="right" vertical="center"/>
    </xf>
    <xf numFmtId="10" fontId="0" fillId="4" borderId="1" applyAlignment="1" pivotButton="0" quotePrefix="0" xfId="0">
      <alignment horizontal="right" vertical="center"/>
    </xf>
    <xf numFmtId="164" fontId="0" fillId="4" borderId="1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0" fontId="14" fillId="5" borderId="1" applyAlignment="1" pivotButton="0" quotePrefix="0" xfId="0">
      <alignment horizontal="center" vertical="center"/>
    </xf>
    <xf numFmtId="0" fontId="13" fillId="0" borderId="1" applyAlignment="1" pivotButton="0" quotePrefix="0" xfId="0">
      <alignment horizontal="center" vertical="center"/>
    </xf>
    <xf numFmtId="0" fontId="15" fillId="0" borderId="0" applyAlignment="1" pivotButton="0" quotePrefix="0" xfId="0">
      <alignment horizontal="left" vertical="center" wrapText="1"/>
    </xf>
    <xf numFmtId="0" fontId="16" fillId="0" borderId="0" applyAlignment="1" pivotButton="0" quotePrefix="0" xfId="0">
      <alignment horizontal="left" vertical="center" wrapText="1"/>
    </xf>
    <xf numFmtId="0" fontId="17" fillId="0" borderId="0" applyAlignment="1" pivotButton="0" quotePrefix="0" xfId="0">
      <alignment horizontal="left" vertical="center" wrapText="1"/>
    </xf>
    <xf numFmtId="0" fontId="18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dxfs count="2">
    <dxf>
      <font>
        <b val="1"/>
        <color rgb="00FFFFFF"/>
      </font>
      <fill>
        <patternFill patternType="solid">
          <fgColor rgb="00EF4444"/>
        </patternFill>
      </fill>
    </dxf>
    <dxf>
      <font>
        <b val="1"/>
        <color rgb="00FFFFFF"/>
      </font>
      <fill>
        <patternFill patternType="solid">
          <fgColor rgb="0010B98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2" customHeight="1">
      <c r="A1" s="1" t="inlineStr">
        <is>
          <t>QuantCalc Free RMD Calculator</t>
        </is>
      </c>
    </row>
    <row r="2">
      <c r="A2" s="2" t="inlineStr">
        <is>
          <t>A simple, no-fluff RMD calculator for the IRS Uniform Lifetime Table (SECURE Act 2.0 start age 73 or 75, from your birth year)</t>
        </is>
      </c>
    </row>
    <row r="3">
      <c r="A3" s="3" t="inlineStr"/>
    </row>
    <row r="4" ht="22" customHeight="1">
      <c r="A4" s="4" t="inlineStr">
        <is>
          <t>WHAT THIS IS</t>
        </is>
      </c>
    </row>
    <row r="5">
      <c r="A5" s="3" t="inlineStr">
        <is>
          <t>This free spreadsheet computes your annual Required Minimum Distribution (RMD) from a Traditional IRA</t>
        </is>
      </c>
    </row>
    <row r="6">
      <c r="A6" s="3" t="inlineStr">
        <is>
          <t>or 401(k). You enter your prior-year-end balance and your age; it shows your current-year RMD plus a</t>
        </is>
      </c>
    </row>
    <row r="7">
      <c r="A7" s="3" t="inlineStr">
        <is>
          <t>30-year projection of how the balance and required withdrawals evolve.</t>
        </is>
      </c>
    </row>
    <row r="8">
      <c r="A8" s="3" t="inlineStr"/>
    </row>
    <row r="9">
      <c r="A9" s="3" t="inlineStr">
        <is>
          <t>This is a single-purpose tool. It does not model taxes, IRMAA, Social Security, Roth conversions, or</t>
        </is>
      </c>
    </row>
    <row r="10">
      <c r="A10" s="3" t="inlineStr">
        <is>
          <t>withdrawal sequencing across multiple accounts — see the upgrade tab if you want all of that in one file.</t>
        </is>
      </c>
    </row>
    <row r="11">
      <c r="A11" s="3" t="inlineStr"/>
    </row>
    <row r="12" ht="22" customHeight="1">
      <c r="A12" s="4" t="inlineStr">
        <is>
          <t>HOW TO USE</t>
        </is>
      </c>
    </row>
    <row r="13">
      <c r="A13" s="3" t="inlineStr">
        <is>
          <t>Step 1: Open the 'RMD Calculator' tab.</t>
        </is>
      </c>
    </row>
    <row r="14">
      <c r="A14" s="3" t="inlineStr">
        <is>
          <t>Step 2: Enter your prior 12/31 Traditional IRA / 401(k) balance in the YELLOW cell (B5).</t>
        </is>
      </c>
    </row>
    <row r="15">
      <c r="A15" s="3" t="inlineStr">
        <is>
          <t>Step 3: Enter your birth year (B6) and the planning year (B7, normally the current year). The sheet</t>
        </is>
      </c>
    </row>
    <row r="16">
      <c r="A16" s="3" t="inlineStr">
        <is>
          <t xml:space="preserve">        derives your age and your personal RMD start age (73 or 75) from these.</t>
        </is>
      </c>
    </row>
    <row r="17">
      <c r="A17" s="3" t="inlineStr">
        <is>
          <t>Step 4: Optionally adjust the assumed annual return (B8) — used only for the 30-year projection.</t>
        </is>
      </c>
    </row>
    <row r="18">
      <c r="A18" s="3" t="inlineStr">
        <is>
          <t>Step 5: Read your current-year RMD in cell B14. Review the year-by-year table below.</t>
        </is>
      </c>
    </row>
    <row r="19">
      <c r="A19" s="3" t="inlineStr"/>
    </row>
    <row r="20" ht="22" customHeight="1">
      <c r="A20" s="4" t="inlineStr">
        <is>
          <t>KEY FACTS ABOUT RMDs</t>
        </is>
      </c>
    </row>
    <row r="21">
      <c r="A21" s="3" t="inlineStr">
        <is>
          <t>- Start age: 73 (SECURE Act 2.0, for those born 1951–1959). Age 75 for those born 1960 or later.</t>
        </is>
      </c>
    </row>
    <row r="22">
      <c r="A22" s="3" t="inlineStr">
        <is>
          <t xml:space="preserve">  The calculator derives your start age from your birth year automatically.</t>
        </is>
      </c>
    </row>
    <row r="23">
      <c r="A23" s="3" t="inlineStr">
        <is>
          <t>- Deadline: December 31 each year. Your FIRST RMD only can be delayed until April 1 of the year after</t>
        </is>
      </c>
    </row>
    <row r="24">
      <c r="A24" s="3" t="inlineStr">
        <is>
          <t xml:space="preserve">  you reach your start age — but then you take two RMDs that year. This sheet assumes no delay.</t>
        </is>
      </c>
    </row>
    <row r="25">
      <c r="A25" s="3" t="inlineStr">
        <is>
          <t>- Penalty for missing: 25% of the shortfall (was 50% pre-SECURE 2.0). Can be reduced to 10% if corrected within 2 years.</t>
        </is>
      </c>
    </row>
    <row r="26">
      <c r="A26" s="3" t="inlineStr">
        <is>
          <t>- Divisor source: IRS Uniform Lifetime Table (Pub 590-B, in force since 2022). If your spouse is your sole</t>
        </is>
      </c>
    </row>
    <row r="27">
      <c r="A27" s="3" t="inlineStr">
        <is>
          <t xml:space="preserve">  beneficiary AND more than 10 years younger, the IRS Joint Life table gives a smaller RMD — not modeled here.</t>
        </is>
      </c>
    </row>
    <row r="28">
      <c r="A28" s="3" t="inlineStr">
        <is>
          <t>- Roth IRAs have no lifetime RMDs, and Roth 401(k)/403(b) accounts are exempt starting 2024 —</t>
        </is>
      </c>
    </row>
    <row r="29">
      <c r="A29" s="3" t="inlineStr">
        <is>
          <t xml:space="preserve">  exclude all Roth balances from the amount you enter in B5.</t>
        </is>
      </c>
    </row>
    <row r="30">
      <c r="A30" s="3" t="inlineStr">
        <is>
          <t>- Inherited IRAs follow different rules (often the 10-year rule) — also not modeled here.</t>
        </is>
      </c>
    </row>
    <row r="31">
      <c r="A31" s="3" t="inlineStr"/>
    </row>
    <row r="32" ht="22" customHeight="1">
      <c r="A32" s="5" t="inlineStr">
        <is>
          <t>WANT THE FULL PICTURE?</t>
        </is>
      </c>
    </row>
    <row r="33">
      <c r="A33" s="3" t="inlineStr">
        <is>
          <t>RMDs are only one of the five tax forces that hit a retiree's income every year. The full retirement</t>
        </is>
      </c>
    </row>
    <row r="34">
      <c r="A34" s="3" t="inlineStr">
        <is>
          <t>withdrawal picture also includes federal tax brackets, IRMAA Medicare surcharges, Social Security taxation,</t>
        </is>
      </c>
    </row>
    <row r="35">
      <c r="A35" s="3" t="inlineStr">
        <is>
          <t>state tax, and the choice between Traditional / Roth / Taxable account withdrawals.</t>
        </is>
      </c>
    </row>
    <row r="36">
      <c r="A36" s="3" t="inlineStr"/>
    </row>
    <row r="37">
      <c r="A37" s="6" t="inlineStr">
        <is>
          <t>The 'Upgrade' tab shows what the full Retirement Withdrawal Strategy Optimizer adds — currently $12.99 on Etsy.</t>
        </is>
      </c>
    </row>
    <row r="38">
      <c r="A38" s="3" t="inlineStr"/>
    </row>
    <row r="39" ht="22" customHeight="1">
      <c r="A39" s="7" t="inlineStr">
        <is>
          <t>DISCLAIMER</t>
        </is>
      </c>
    </row>
    <row r="40">
      <c r="A40" s="3" t="inlineStr">
        <is>
          <t>This spreadsheet is for educational planning purposes only. It is not financial, tax, or investment advice.</t>
        </is>
      </c>
    </row>
    <row r="41">
      <c r="A41" s="3" t="inlineStr">
        <is>
          <t>Verify RMD rules and current divisors with the IRS (irs.gov) before filing. Consult a qualified CPA or</t>
        </is>
      </c>
    </row>
    <row r="42">
      <c r="A42" s="3" t="inlineStr">
        <is>
          <t>financial planner for personalized guidance.</t>
        </is>
      </c>
    </row>
    <row r="43">
      <c r="A43" s="3" t="inlineStr"/>
    </row>
    <row r="44">
      <c r="A44" s="8" t="inlineStr">
        <is>
          <t>Built by QuantCalc — quantcalc.app — hello@quantcalc.app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50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RMD Calculator</t>
        </is>
      </c>
    </row>
    <row r="2">
      <c r="A2" s="3" t="inlineStr">
        <is>
          <t>Enter your prior 12/31 balance, birth year, and planning year in the YELLOW cells. All other cells auto-calculate.</t>
        </is>
      </c>
    </row>
    <row r="4">
      <c r="A4" s="9" t="inlineStr">
        <is>
          <t>Your Inputs</t>
        </is>
      </c>
      <c r="B4" s="10" t="n"/>
      <c r="C4" s="11" t="n"/>
    </row>
    <row r="5">
      <c r="A5" s="3" t="inlineStr">
        <is>
          <t>Prior 12/31 Trad IRA / 401(k) Balance</t>
        </is>
      </c>
      <c r="B5" s="12" t="n">
        <v>500000</v>
      </c>
      <c r="C5" s="13" t="inlineStr">
        <is>
          <t>Combined Traditional IRA + 401(k) value on Dec 31 of last year</t>
        </is>
      </c>
    </row>
    <row r="6">
      <c r="A6" s="3" t="inlineStr">
        <is>
          <t>Your Birth Year</t>
        </is>
      </c>
      <c r="B6" s="14" t="n">
        <v>1953</v>
      </c>
      <c r="C6" s="13" t="inlineStr">
        <is>
          <t>Sets your RMD start age: 73 if born 1951-1959, 75 if born 1960 or later (SECURE 2.0)</t>
        </is>
      </c>
    </row>
    <row r="7">
      <c r="A7" s="3" t="inlineStr">
        <is>
          <t>Planning Year</t>
        </is>
      </c>
      <c r="B7" s="14" t="n">
        <v>2026</v>
      </c>
      <c r="C7" s="13" t="inlineStr">
        <is>
          <t>The calendar year the RMD below is for — normally the current year</t>
        </is>
      </c>
    </row>
    <row r="8">
      <c r="A8" s="3" t="inlineStr">
        <is>
          <t>Assumed Annual Return</t>
        </is>
      </c>
      <c r="B8" s="15" t="n">
        <v>0.05</v>
      </c>
      <c r="C8" s="13" t="inlineStr">
        <is>
          <t>Used only for the 30-year projection below. Try 4-7% to see the range.</t>
        </is>
      </c>
    </row>
    <row r="10">
      <c r="A10" s="9" t="inlineStr">
        <is>
          <t>Current-Year RMD</t>
        </is>
      </c>
      <c r="B10" s="10" t="n"/>
      <c r="C10" s="11" t="n"/>
    </row>
    <row r="11">
      <c r="A11" s="3" t="inlineStr">
        <is>
          <t>Your Age in the Planning Year</t>
        </is>
      </c>
      <c r="B11" s="16">
        <f>B7-B6</f>
        <v/>
      </c>
      <c r="C11" s="13" t="inlineStr">
        <is>
          <t>Age attained during the year (IRS convention for the divisor lookup)</t>
        </is>
      </c>
    </row>
    <row r="12">
      <c r="A12" s="3" t="inlineStr">
        <is>
          <t>Your RMD Start Age (SECURE 2.0)</t>
        </is>
      </c>
      <c r="B12" s="16">
        <f>IF(B6&gt;=1960,75,73)</f>
        <v/>
      </c>
      <c r="C12" s="13" t="inlineStr">
        <is>
          <t>73 if born 1951-1959; 75 if born 1960+. Born 1950 or earlier: RMDs already underway.</t>
        </is>
      </c>
    </row>
    <row r="13">
      <c r="A13" s="6" t="inlineStr">
        <is>
          <t>RMD Divisor (IRS Uniform Lifetime Table)</t>
        </is>
      </c>
      <c r="B13" s="17">
        <f>IF(B11&lt;B12,"--",IFERROR(VLOOKUP(MIN(B11,120),Data!$A$2:$B$50,2,FALSE),"--"))</f>
        <v/>
      </c>
      <c r="C13" s="13" t="inlineStr">
        <is>
          <t>Looked up from the IRS table for your age (ages 120+ use the 2.0 floor)</t>
        </is>
      </c>
    </row>
    <row r="14">
      <c r="A14" s="6" t="inlineStr">
        <is>
          <t>Current-Year RMD ($)</t>
        </is>
      </c>
      <c r="B14" s="18">
        <f>IF(OR(B11&lt;B12,NOT(ISNUMBER(B13))),0,B5/B13)</f>
        <v/>
      </c>
      <c r="C14" s="13" t="inlineStr">
        <is>
          <t>Prior balance / divisor. This is the MINIMUM you must withdraw this year.</t>
        </is>
      </c>
    </row>
    <row r="15">
      <c r="A15" s="3" t="inlineStr">
        <is>
          <t>RMD as % of Balance</t>
        </is>
      </c>
      <c r="B15" s="19">
        <f>IF(OR(B14=0,B5=0),0,B14/B5)</f>
        <v/>
      </c>
      <c r="C15" s="13" t="inlineStr">
        <is>
          <t>Useful gut-check: starts at ~3.8% at age 73, grows each year</t>
        </is>
      </c>
    </row>
    <row r="17">
      <c r="A17" s="9" t="inlineStr">
        <is>
          <t>30-Year RMD Projection</t>
        </is>
      </c>
      <c r="B17" s="10" t="n"/>
      <c r="C17" s="10" t="n"/>
      <c r="D17" s="10" t="n"/>
      <c r="E17" s="10" t="n"/>
      <c r="F17" s="10" t="n"/>
      <c r="G17" s="10" t="n"/>
      <c r="H17" s="11" t="n"/>
    </row>
    <row r="18">
      <c r="A18" s="9" t="inlineStr">
        <is>
          <t>Year</t>
        </is>
      </c>
      <c r="B18" s="9" t="inlineStr">
        <is>
          <t>Age</t>
        </is>
      </c>
      <c r="C18" s="9" t="inlineStr">
        <is>
          <t>Divisor</t>
        </is>
      </c>
      <c r="D18" s="9" t="inlineStr">
        <is>
          <t>Balance (start of year)</t>
        </is>
      </c>
      <c r="E18" s="9" t="inlineStr">
        <is>
          <t>RMD this year</t>
        </is>
      </c>
      <c r="F18" s="9" t="inlineStr">
        <is>
          <t>Assumed return</t>
        </is>
      </c>
      <c r="G18" s="9" t="inlineStr">
        <is>
          <t>Balance (end of year)</t>
        </is>
      </c>
      <c r="H18" s="9" t="inlineStr">
        <is>
          <t>Cumulative RMDs</t>
        </is>
      </c>
    </row>
    <row r="19">
      <c r="A19" s="16">
        <f>1</f>
        <v/>
      </c>
      <c r="B19" s="16">
        <f>B11</f>
        <v/>
      </c>
      <c r="C19" s="17">
        <f>IF(B19&lt;$B$12,"--",IFERROR(VLOOKUP(MIN(B19,120),Data!$A$2:$B$50,2,FALSE),"--"))</f>
        <v/>
      </c>
      <c r="D19" s="20">
        <f>B5</f>
        <v/>
      </c>
      <c r="E19" s="20">
        <f>IF(OR(B19&lt;$B$12,NOT(ISNUMBER(C19))),0,D19/C19)</f>
        <v/>
      </c>
      <c r="F19" s="19">
        <f>$B$8</f>
        <v/>
      </c>
      <c r="G19" s="20">
        <f>MAX(0,(D19-E19)*(1+F19))</f>
        <v/>
      </c>
      <c r="H19" s="20">
        <f>E19</f>
        <v/>
      </c>
    </row>
    <row r="20">
      <c r="A20" s="16">
        <f>2</f>
        <v/>
      </c>
      <c r="B20" s="16">
        <f>B19+1</f>
        <v/>
      </c>
      <c r="C20" s="17">
        <f>IF(B20&lt;$B$12,"--",IFERROR(VLOOKUP(MIN(B20,120),Data!$A$2:$B$50,2,FALSE),"--"))</f>
        <v/>
      </c>
      <c r="D20" s="20">
        <f>MAX(0,G19)</f>
        <v/>
      </c>
      <c r="E20" s="20">
        <f>IF(OR(B20&lt;$B$12,NOT(ISNUMBER(C20))),0,D20/C20)</f>
        <v/>
      </c>
      <c r="F20" s="19">
        <f>$B$8</f>
        <v/>
      </c>
      <c r="G20" s="20">
        <f>MAX(0,(D20-E20)*(1+F20))</f>
        <v/>
      </c>
      <c r="H20" s="20">
        <f>H19+E20</f>
        <v/>
      </c>
    </row>
    <row r="21">
      <c r="A21" s="16">
        <f>3</f>
        <v/>
      </c>
      <c r="B21" s="16">
        <f>B20+1</f>
        <v/>
      </c>
      <c r="C21" s="17">
        <f>IF(B21&lt;$B$12,"--",IFERROR(VLOOKUP(MIN(B21,120),Data!$A$2:$B$50,2,FALSE),"--"))</f>
        <v/>
      </c>
      <c r="D21" s="20">
        <f>MAX(0,G20)</f>
        <v/>
      </c>
      <c r="E21" s="20">
        <f>IF(OR(B21&lt;$B$12,NOT(ISNUMBER(C21))),0,D21/C21)</f>
        <v/>
      </c>
      <c r="F21" s="19">
        <f>$B$8</f>
        <v/>
      </c>
      <c r="G21" s="20">
        <f>MAX(0,(D21-E21)*(1+F21))</f>
        <v/>
      </c>
      <c r="H21" s="20">
        <f>H20+E21</f>
        <v/>
      </c>
    </row>
    <row r="22">
      <c r="A22" s="16">
        <f>4</f>
        <v/>
      </c>
      <c r="B22" s="16">
        <f>B21+1</f>
        <v/>
      </c>
      <c r="C22" s="17">
        <f>IF(B22&lt;$B$12,"--",IFERROR(VLOOKUP(MIN(B22,120),Data!$A$2:$B$50,2,FALSE),"--"))</f>
        <v/>
      </c>
      <c r="D22" s="20">
        <f>MAX(0,G21)</f>
        <v/>
      </c>
      <c r="E22" s="20">
        <f>IF(OR(B22&lt;$B$12,NOT(ISNUMBER(C22))),0,D22/C22)</f>
        <v/>
      </c>
      <c r="F22" s="19">
        <f>$B$8</f>
        <v/>
      </c>
      <c r="G22" s="20">
        <f>MAX(0,(D22-E22)*(1+F22))</f>
        <v/>
      </c>
      <c r="H22" s="20">
        <f>H21+E22</f>
        <v/>
      </c>
    </row>
    <row r="23">
      <c r="A23" s="16">
        <f>5</f>
        <v/>
      </c>
      <c r="B23" s="16">
        <f>B22+1</f>
        <v/>
      </c>
      <c r="C23" s="17">
        <f>IF(B23&lt;$B$12,"--",IFERROR(VLOOKUP(MIN(B23,120),Data!$A$2:$B$50,2,FALSE),"--"))</f>
        <v/>
      </c>
      <c r="D23" s="20">
        <f>MAX(0,G22)</f>
        <v/>
      </c>
      <c r="E23" s="20">
        <f>IF(OR(B23&lt;$B$12,NOT(ISNUMBER(C23))),0,D23/C23)</f>
        <v/>
      </c>
      <c r="F23" s="19">
        <f>$B$8</f>
        <v/>
      </c>
      <c r="G23" s="20">
        <f>MAX(0,(D23-E23)*(1+F23))</f>
        <v/>
      </c>
      <c r="H23" s="20">
        <f>H22+E23</f>
        <v/>
      </c>
    </row>
    <row r="24">
      <c r="A24" s="16">
        <f>6</f>
        <v/>
      </c>
      <c r="B24" s="16">
        <f>B23+1</f>
        <v/>
      </c>
      <c r="C24" s="17">
        <f>IF(B24&lt;$B$12,"--",IFERROR(VLOOKUP(MIN(B24,120),Data!$A$2:$B$50,2,FALSE),"--"))</f>
        <v/>
      </c>
      <c r="D24" s="20">
        <f>MAX(0,G23)</f>
        <v/>
      </c>
      <c r="E24" s="20">
        <f>IF(OR(B24&lt;$B$12,NOT(ISNUMBER(C24))),0,D24/C24)</f>
        <v/>
      </c>
      <c r="F24" s="19">
        <f>$B$8</f>
        <v/>
      </c>
      <c r="G24" s="20">
        <f>MAX(0,(D24-E24)*(1+F24))</f>
        <v/>
      </c>
      <c r="H24" s="20">
        <f>H23+E24</f>
        <v/>
      </c>
    </row>
    <row r="25">
      <c r="A25" s="16">
        <f>7</f>
        <v/>
      </c>
      <c r="B25" s="16">
        <f>B24+1</f>
        <v/>
      </c>
      <c r="C25" s="17">
        <f>IF(B25&lt;$B$12,"--",IFERROR(VLOOKUP(MIN(B25,120),Data!$A$2:$B$50,2,FALSE),"--"))</f>
        <v/>
      </c>
      <c r="D25" s="20">
        <f>MAX(0,G24)</f>
        <v/>
      </c>
      <c r="E25" s="20">
        <f>IF(OR(B25&lt;$B$12,NOT(ISNUMBER(C25))),0,D25/C25)</f>
        <v/>
      </c>
      <c r="F25" s="19">
        <f>$B$8</f>
        <v/>
      </c>
      <c r="G25" s="20">
        <f>MAX(0,(D25-E25)*(1+F25))</f>
        <v/>
      </c>
      <c r="H25" s="20">
        <f>H24+E25</f>
        <v/>
      </c>
    </row>
    <row r="26">
      <c r="A26" s="16">
        <f>8</f>
        <v/>
      </c>
      <c r="B26" s="16">
        <f>B25+1</f>
        <v/>
      </c>
      <c r="C26" s="17">
        <f>IF(B26&lt;$B$12,"--",IFERROR(VLOOKUP(MIN(B26,120),Data!$A$2:$B$50,2,FALSE),"--"))</f>
        <v/>
      </c>
      <c r="D26" s="20">
        <f>MAX(0,G25)</f>
        <v/>
      </c>
      <c r="E26" s="20">
        <f>IF(OR(B26&lt;$B$12,NOT(ISNUMBER(C26))),0,D26/C26)</f>
        <v/>
      </c>
      <c r="F26" s="19">
        <f>$B$8</f>
        <v/>
      </c>
      <c r="G26" s="20">
        <f>MAX(0,(D26-E26)*(1+F26))</f>
        <v/>
      </c>
      <c r="H26" s="20">
        <f>H25+E26</f>
        <v/>
      </c>
    </row>
    <row r="27">
      <c r="A27" s="16">
        <f>9</f>
        <v/>
      </c>
      <c r="B27" s="16">
        <f>B26+1</f>
        <v/>
      </c>
      <c r="C27" s="17">
        <f>IF(B27&lt;$B$12,"--",IFERROR(VLOOKUP(MIN(B27,120),Data!$A$2:$B$50,2,FALSE),"--"))</f>
        <v/>
      </c>
      <c r="D27" s="20">
        <f>MAX(0,G26)</f>
        <v/>
      </c>
      <c r="E27" s="20">
        <f>IF(OR(B27&lt;$B$12,NOT(ISNUMBER(C27))),0,D27/C27)</f>
        <v/>
      </c>
      <c r="F27" s="19">
        <f>$B$8</f>
        <v/>
      </c>
      <c r="G27" s="20">
        <f>MAX(0,(D27-E27)*(1+F27))</f>
        <v/>
      </c>
      <c r="H27" s="20">
        <f>H26+E27</f>
        <v/>
      </c>
    </row>
    <row r="28">
      <c r="A28" s="16">
        <f>10</f>
        <v/>
      </c>
      <c r="B28" s="16">
        <f>B27+1</f>
        <v/>
      </c>
      <c r="C28" s="17">
        <f>IF(B28&lt;$B$12,"--",IFERROR(VLOOKUP(MIN(B28,120),Data!$A$2:$B$50,2,FALSE),"--"))</f>
        <v/>
      </c>
      <c r="D28" s="20">
        <f>MAX(0,G27)</f>
        <v/>
      </c>
      <c r="E28" s="20">
        <f>IF(OR(B28&lt;$B$12,NOT(ISNUMBER(C28))),0,D28/C28)</f>
        <v/>
      </c>
      <c r="F28" s="19">
        <f>$B$8</f>
        <v/>
      </c>
      <c r="G28" s="20">
        <f>MAX(0,(D28-E28)*(1+F28))</f>
        <v/>
      </c>
      <c r="H28" s="20">
        <f>H27+E28</f>
        <v/>
      </c>
    </row>
    <row r="29">
      <c r="A29" s="16">
        <f>11</f>
        <v/>
      </c>
      <c r="B29" s="16">
        <f>B28+1</f>
        <v/>
      </c>
      <c r="C29" s="17">
        <f>IF(B29&lt;$B$12,"--",IFERROR(VLOOKUP(MIN(B29,120),Data!$A$2:$B$50,2,FALSE),"--"))</f>
        <v/>
      </c>
      <c r="D29" s="20">
        <f>MAX(0,G28)</f>
        <v/>
      </c>
      <c r="E29" s="20">
        <f>IF(OR(B29&lt;$B$12,NOT(ISNUMBER(C29))),0,D29/C29)</f>
        <v/>
      </c>
      <c r="F29" s="19">
        <f>$B$8</f>
        <v/>
      </c>
      <c r="G29" s="20">
        <f>MAX(0,(D29-E29)*(1+F29))</f>
        <v/>
      </c>
      <c r="H29" s="20">
        <f>H28+E29</f>
        <v/>
      </c>
    </row>
    <row r="30">
      <c r="A30" s="16">
        <f>12</f>
        <v/>
      </c>
      <c r="B30" s="16">
        <f>B29+1</f>
        <v/>
      </c>
      <c r="C30" s="17">
        <f>IF(B30&lt;$B$12,"--",IFERROR(VLOOKUP(MIN(B30,120),Data!$A$2:$B$50,2,FALSE),"--"))</f>
        <v/>
      </c>
      <c r="D30" s="20">
        <f>MAX(0,G29)</f>
        <v/>
      </c>
      <c r="E30" s="20">
        <f>IF(OR(B30&lt;$B$12,NOT(ISNUMBER(C30))),0,D30/C30)</f>
        <v/>
      </c>
      <c r="F30" s="19">
        <f>$B$8</f>
        <v/>
      </c>
      <c r="G30" s="20">
        <f>MAX(0,(D30-E30)*(1+F30))</f>
        <v/>
      </c>
      <c r="H30" s="20">
        <f>H29+E30</f>
        <v/>
      </c>
    </row>
    <row r="31">
      <c r="A31" s="16">
        <f>13</f>
        <v/>
      </c>
      <c r="B31" s="16">
        <f>B30+1</f>
        <v/>
      </c>
      <c r="C31" s="17">
        <f>IF(B31&lt;$B$12,"--",IFERROR(VLOOKUP(MIN(B31,120),Data!$A$2:$B$50,2,FALSE),"--"))</f>
        <v/>
      </c>
      <c r="D31" s="20">
        <f>MAX(0,G30)</f>
        <v/>
      </c>
      <c r="E31" s="20">
        <f>IF(OR(B31&lt;$B$12,NOT(ISNUMBER(C31))),0,D31/C31)</f>
        <v/>
      </c>
      <c r="F31" s="19">
        <f>$B$8</f>
        <v/>
      </c>
      <c r="G31" s="20">
        <f>MAX(0,(D31-E31)*(1+F31))</f>
        <v/>
      </c>
      <c r="H31" s="20">
        <f>H30+E31</f>
        <v/>
      </c>
    </row>
    <row r="32">
      <c r="A32" s="16">
        <f>14</f>
        <v/>
      </c>
      <c r="B32" s="16">
        <f>B31+1</f>
        <v/>
      </c>
      <c r="C32" s="17">
        <f>IF(B32&lt;$B$12,"--",IFERROR(VLOOKUP(MIN(B32,120),Data!$A$2:$B$50,2,FALSE),"--"))</f>
        <v/>
      </c>
      <c r="D32" s="20">
        <f>MAX(0,G31)</f>
        <v/>
      </c>
      <c r="E32" s="20">
        <f>IF(OR(B32&lt;$B$12,NOT(ISNUMBER(C32))),0,D32/C32)</f>
        <v/>
      </c>
      <c r="F32" s="19">
        <f>$B$8</f>
        <v/>
      </c>
      <c r="G32" s="20">
        <f>MAX(0,(D32-E32)*(1+F32))</f>
        <v/>
      </c>
      <c r="H32" s="20">
        <f>H31+E32</f>
        <v/>
      </c>
    </row>
    <row r="33">
      <c r="A33" s="16">
        <f>15</f>
        <v/>
      </c>
      <c r="B33" s="16">
        <f>B32+1</f>
        <v/>
      </c>
      <c r="C33" s="17">
        <f>IF(B33&lt;$B$12,"--",IFERROR(VLOOKUP(MIN(B33,120),Data!$A$2:$B$50,2,FALSE),"--"))</f>
        <v/>
      </c>
      <c r="D33" s="20">
        <f>MAX(0,G32)</f>
        <v/>
      </c>
      <c r="E33" s="20">
        <f>IF(OR(B33&lt;$B$12,NOT(ISNUMBER(C33))),0,D33/C33)</f>
        <v/>
      </c>
      <c r="F33" s="19">
        <f>$B$8</f>
        <v/>
      </c>
      <c r="G33" s="20">
        <f>MAX(0,(D33-E33)*(1+F33))</f>
        <v/>
      </c>
      <c r="H33" s="20">
        <f>H32+E33</f>
        <v/>
      </c>
    </row>
    <row r="34">
      <c r="A34" s="16">
        <f>16</f>
        <v/>
      </c>
      <c r="B34" s="16">
        <f>B33+1</f>
        <v/>
      </c>
      <c r="C34" s="17">
        <f>IF(B34&lt;$B$12,"--",IFERROR(VLOOKUP(MIN(B34,120),Data!$A$2:$B$50,2,FALSE),"--"))</f>
        <v/>
      </c>
      <c r="D34" s="20">
        <f>MAX(0,G33)</f>
        <v/>
      </c>
      <c r="E34" s="20">
        <f>IF(OR(B34&lt;$B$12,NOT(ISNUMBER(C34))),0,D34/C34)</f>
        <v/>
      </c>
      <c r="F34" s="19">
        <f>$B$8</f>
        <v/>
      </c>
      <c r="G34" s="20">
        <f>MAX(0,(D34-E34)*(1+F34))</f>
        <v/>
      </c>
      <c r="H34" s="20">
        <f>H33+E34</f>
        <v/>
      </c>
    </row>
    <row r="35">
      <c r="A35" s="16">
        <f>17</f>
        <v/>
      </c>
      <c r="B35" s="16">
        <f>B34+1</f>
        <v/>
      </c>
      <c r="C35" s="17">
        <f>IF(B35&lt;$B$12,"--",IFERROR(VLOOKUP(MIN(B35,120),Data!$A$2:$B$50,2,FALSE),"--"))</f>
        <v/>
      </c>
      <c r="D35" s="20">
        <f>MAX(0,G34)</f>
        <v/>
      </c>
      <c r="E35" s="20">
        <f>IF(OR(B35&lt;$B$12,NOT(ISNUMBER(C35))),0,D35/C35)</f>
        <v/>
      </c>
      <c r="F35" s="19">
        <f>$B$8</f>
        <v/>
      </c>
      <c r="G35" s="20">
        <f>MAX(0,(D35-E35)*(1+F35))</f>
        <v/>
      </c>
      <c r="H35" s="20">
        <f>H34+E35</f>
        <v/>
      </c>
    </row>
    <row r="36">
      <c r="A36" s="16">
        <f>18</f>
        <v/>
      </c>
      <c r="B36" s="16">
        <f>B35+1</f>
        <v/>
      </c>
      <c r="C36" s="17">
        <f>IF(B36&lt;$B$12,"--",IFERROR(VLOOKUP(MIN(B36,120),Data!$A$2:$B$50,2,FALSE),"--"))</f>
        <v/>
      </c>
      <c r="D36" s="20">
        <f>MAX(0,G35)</f>
        <v/>
      </c>
      <c r="E36" s="20">
        <f>IF(OR(B36&lt;$B$12,NOT(ISNUMBER(C36))),0,D36/C36)</f>
        <v/>
      </c>
      <c r="F36" s="19">
        <f>$B$8</f>
        <v/>
      </c>
      <c r="G36" s="20">
        <f>MAX(0,(D36-E36)*(1+F36))</f>
        <v/>
      </c>
      <c r="H36" s="20">
        <f>H35+E36</f>
        <v/>
      </c>
    </row>
    <row r="37">
      <c r="A37" s="16">
        <f>19</f>
        <v/>
      </c>
      <c r="B37" s="16">
        <f>B36+1</f>
        <v/>
      </c>
      <c r="C37" s="17">
        <f>IF(B37&lt;$B$12,"--",IFERROR(VLOOKUP(MIN(B37,120),Data!$A$2:$B$50,2,FALSE),"--"))</f>
        <v/>
      </c>
      <c r="D37" s="20">
        <f>MAX(0,G36)</f>
        <v/>
      </c>
      <c r="E37" s="20">
        <f>IF(OR(B37&lt;$B$12,NOT(ISNUMBER(C37))),0,D37/C37)</f>
        <v/>
      </c>
      <c r="F37" s="19">
        <f>$B$8</f>
        <v/>
      </c>
      <c r="G37" s="20">
        <f>MAX(0,(D37-E37)*(1+F37))</f>
        <v/>
      </c>
      <c r="H37" s="20">
        <f>H36+E37</f>
        <v/>
      </c>
    </row>
    <row r="38">
      <c r="A38" s="16">
        <f>20</f>
        <v/>
      </c>
      <c r="B38" s="16">
        <f>B37+1</f>
        <v/>
      </c>
      <c r="C38" s="17">
        <f>IF(B38&lt;$B$12,"--",IFERROR(VLOOKUP(MIN(B38,120),Data!$A$2:$B$50,2,FALSE),"--"))</f>
        <v/>
      </c>
      <c r="D38" s="20">
        <f>MAX(0,G37)</f>
        <v/>
      </c>
      <c r="E38" s="20">
        <f>IF(OR(B38&lt;$B$12,NOT(ISNUMBER(C38))),0,D38/C38)</f>
        <v/>
      </c>
      <c r="F38" s="19">
        <f>$B$8</f>
        <v/>
      </c>
      <c r="G38" s="20">
        <f>MAX(0,(D38-E38)*(1+F38))</f>
        <v/>
      </c>
      <c r="H38" s="20">
        <f>H37+E38</f>
        <v/>
      </c>
    </row>
    <row r="39">
      <c r="A39" s="16">
        <f>21</f>
        <v/>
      </c>
      <c r="B39" s="16">
        <f>B38+1</f>
        <v/>
      </c>
      <c r="C39" s="17">
        <f>IF(B39&lt;$B$12,"--",IFERROR(VLOOKUP(MIN(B39,120),Data!$A$2:$B$50,2,FALSE),"--"))</f>
        <v/>
      </c>
      <c r="D39" s="20">
        <f>MAX(0,G38)</f>
        <v/>
      </c>
      <c r="E39" s="20">
        <f>IF(OR(B39&lt;$B$12,NOT(ISNUMBER(C39))),0,D39/C39)</f>
        <v/>
      </c>
      <c r="F39" s="19">
        <f>$B$8</f>
        <v/>
      </c>
      <c r="G39" s="20">
        <f>MAX(0,(D39-E39)*(1+F39))</f>
        <v/>
      </c>
      <c r="H39" s="20">
        <f>H38+E39</f>
        <v/>
      </c>
    </row>
    <row r="40">
      <c r="A40" s="16">
        <f>22</f>
        <v/>
      </c>
      <c r="B40" s="16">
        <f>B39+1</f>
        <v/>
      </c>
      <c r="C40" s="17">
        <f>IF(B40&lt;$B$12,"--",IFERROR(VLOOKUP(MIN(B40,120),Data!$A$2:$B$50,2,FALSE),"--"))</f>
        <v/>
      </c>
      <c r="D40" s="20">
        <f>MAX(0,G39)</f>
        <v/>
      </c>
      <c r="E40" s="20">
        <f>IF(OR(B40&lt;$B$12,NOT(ISNUMBER(C40))),0,D40/C40)</f>
        <v/>
      </c>
      <c r="F40" s="19">
        <f>$B$8</f>
        <v/>
      </c>
      <c r="G40" s="20">
        <f>MAX(0,(D40-E40)*(1+F40))</f>
        <v/>
      </c>
      <c r="H40" s="20">
        <f>H39+E40</f>
        <v/>
      </c>
    </row>
    <row r="41">
      <c r="A41" s="16">
        <f>23</f>
        <v/>
      </c>
      <c r="B41" s="16">
        <f>B40+1</f>
        <v/>
      </c>
      <c r="C41" s="17">
        <f>IF(B41&lt;$B$12,"--",IFERROR(VLOOKUP(MIN(B41,120),Data!$A$2:$B$50,2,FALSE),"--"))</f>
        <v/>
      </c>
      <c r="D41" s="20">
        <f>MAX(0,G40)</f>
        <v/>
      </c>
      <c r="E41" s="20">
        <f>IF(OR(B41&lt;$B$12,NOT(ISNUMBER(C41))),0,D41/C41)</f>
        <v/>
      </c>
      <c r="F41" s="19">
        <f>$B$8</f>
        <v/>
      </c>
      <c r="G41" s="20">
        <f>MAX(0,(D41-E41)*(1+F41))</f>
        <v/>
      </c>
      <c r="H41" s="20">
        <f>H40+E41</f>
        <v/>
      </c>
    </row>
    <row r="42">
      <c r="A42" s="16">
        <f>24</f>
        <v/>
      </c>
      <c r="B42" s="16">
        <f>B41+1</f>
        <v/>
      </c>
      <c r="C42" s="17">
        <f>IF(B42&lt;$B$12,"--",IFERROR(VLOOKUP(MIN(B42,120),Data!$A$2:$B$50,2,FALSE),"--"))</f>
        <v/>
      </c>
      <c r="D42" s="20">
        <f>MAX(0,G41)</f>
        <v/>
      </c>
      <c r="E42" s="20">
        <f>IF(OR(B42&lt;$B$12,NOT(ISNUMBER(C42))),0,D42/C42)</f>
        <v/>
      </c>
      <c r="F42" s="19">
        <f>$B$8</f>
        <v/>
      </c>
      <c r="G42" s="20">
        <f>MAX(0,(D42-E42)*(1+F42))</f>
        <v/>
      </c>
      <c r="H42" s="20">
        <f>H41+E42</f>
        <v/>
      </c>
    </row>
    <row r="43">
      <c r="A43" s="16">
        <f>25</f>
        <v/>
      </c>
      <c r="B43" s="16">
        <f>B42+1</f>
        <v/>
      </c>
      <c r="C43" s="17">
        <f>IF(B43&lt;$B$12,"--",IFERROR(VLOOKUP(MIN(B43,120),Data!$A$2:$B$50,2,FALSE),"--"))</f>
        <v/>
      </c>
      <c r="D43" s="20">
        <f>MAX(0,G42)</f>
        <v/>
      </c>
      <c r="E43" s="20">
        <f>IF(OR(B43&lt;$B$12,NOT(ISNUMBER(C43))),0,D43/C43)</f>
        <v/>
      </c>
      <c r="F43" s="19">
        <f>$B$8</f>
        <v/>
      </c>
      <c r="G43" s="20">
        <f>MAX(0,(D43-E43)*(1+F43))</f>
        <v/>
      </c>
      <c r="H43" s="20">
        <f>H42+E43</f>
        <v/>
      </c>
    </row>
    <row r="44">
      <c r="A44" s="16">
        <f>26</f>
        <v/>
      </c>
      <c r="B44" s="16">
        <f>B43+1</f>
        <v/>
      </c>
      <c r="C44" s="17">
        <f>IF(B44&lt;$B$12,"--",IFERROR(VLOOKUP(MIN(B44,120),Data!$A$2:$B$50,2,FALSE),"--"))</f>
        <v/>
      </c>
      <c r="D44" s="20">
        <f>MAX(0,G43)</f>
        <v/>
      </c>
      <c r="E44" s="20">
        <f>IF(OR(B44&lt;$B$12,NOT(ISNUMBER(C44))),0,D44/C44)</f>
        <v/>
      </c>
      <c r="F44" s="19">
        <f>$B$8</f>
        <v/>
      </c>
      <c r="G44" s="20">
        <f>MAX(0,(D44-E44)*(1+F44))</f>
        <v/>
      </c>
      <c r="H44" s="20">
        <f>H43+E44</f>
        <v/>
      </c>
    </row>
    <row r="45">
      <c r="A45" s="16">
        <f>27</f>
        <v/>
      </c>
      <c r="B45" s="16">
        <f>B44+1</f>
        <v/>
      </c>
      <c r="C45" s="17">
        <f>IF(B45&lt;$B$12,"--",IFERROR(VLOOKUP(MIN(B45,120),Data!$A$2:$B$50,2,FALSE),"--"))</f>
        <v/>
      </c>
      <c r="D45" s="20">
        <f>MAX(0,G44)</f>
        <v/>
      </c>
      <c r="E45" s="20">
        <f>IF(OR(B45&lt;$B$12,NOT(ISNUMBER(C45))),0,D45/C45)</f>
        <v/>
      </c>
      <c r="F45" s="19">
        <f>$B$8</f>
        <v/>
      </c>
      <c r="G45" s="20">
        <f>MAX(0,(D45-E45)*(1+F45))</f>
        <v/>
      </c>
      <c r="H45" s="20">
        <f>H44+E45</f>
        <v/>
      </c>
    </row>
    <row r="46">
      <c r="A46" s="16">
        <f>28</f>
        <v/>
      </c>
      <c r="B46" s="16">
        <f>B45+1</f>
        <v/>
      </c>
      <c r="C46" s="17">
        <f>IF(B46&lt;$B$12,"--",IFERROR(VLOOKUP(MIN(B46,120),Data!$A$2:$B$50,2,FALSE),"--"))</f>
        <v/>
      </c>
      <c r="D46" s="20">
        <f>MAX(0,G45)</f>
        <v/>
      </c>
      <c r="E46" s="20">
        <f>IF(OR(B46&lt;$B$12,NOT(ISNUMBER(C46))),0,D46/C46)</f>
        <v/>
      </c>
      <c r="F46" s="19">
        <f>$B$8</f>
        <v/>
      </c>
      <c r="G46" s="20">
        <f>MAX(0,(D46-E46)*(1+F46))</f>
        <v/>
      </c>
      <c r="H46" s="20">
        <f>H45+E46</f>
        <v/>
      </c>
    </row>
    <row r="47">
      <c r="A47" s="16">
        <f>29</f>
        <v/>
      </c>
      <c r="B47" s="16">
        <f>B46+1</f>
        <v/>
      </c>
      <c r="C47" s="17">
        <f>IF(B47&lt;$B$12,"--",IFERROR(VLOOKUP(MIN(B47,120),Data!$A$2:$B$50,2,FALSE),"--"))</f>
        <v/>
      </c>
      <c r="D47" s="20">
        <f>MAX(0,G46)</f>
        <v/>
      </c>
      <c r="E47" s="20">
        <f>IF(OR(B47&lt;$B$12,NOT(ISNUMBER(C47))),0,D47/C47)</f>
        <v/>
      </c>
      <c r="F47" s="19">
        <f>$B$8</f>
        <v/>
      </c>
      <c r="G47" s="20">
        <f>MAX(0,(D47-E47)*(1+F47))</f>
        <v/>
      </c>
      <c r="H47" s="20">
        <f>H46+E47</f>
        <v/>
      </c>
    </row>
    <row r="48">
      <c r="A48" s="16">
        <f>30</f>
        <v/>
      </c>
      <c r="B48" s="16">
        <f>B47+1</f>
        <v/>
      </c>
      <c r="C48" s="17">
        <f>IF(B48&lt;$B$12,"--",IFERROR(VLOOKUP(MIN(B48,120),Data!$A$2:$B$50,2,FALSE),"--"))</f>
        <v/>
      </c>
      <c r="D48" s="20">
        <f>MAX(0,G47)</f>
        <v/>
      </c>
      <c r="E48" s="20">
        <f>IF(OR(B48&lt;$B$12,NOT(ISNUMBER(C48))),0,D48/C48)</f>
        <v/>
      </c>
      <c r="F48" s="19">
        <f>$B$8</f>
        <v/>
      </c>
      <c r="G48" s="20">
        <f>MAX(0,(D48-E48)*(1+F48))</f>
        <v/>
      </c>
      <c r="H48" s="20">
        <f>H47+E48</f>
        <v/>
      </c>
    </row>
    <row r="50" ht="30" customHeight="1">
      <c r="A50" s="13" t="inlineStr">
        <is>
          <t>Projection convention: each year's RMD is computed from the prior Dec-31 balance (= 'Balance, start of year'), withdrawn at the start of the year, and the remainder grows at the assumed return: End balance = (Start − RMD) × (1 + return). Actual results depend on when you withdraw and on market returns.</t>
        </is>
      </c>
    </row>
    <row r="52">
      <c r="A52" s="6" t="inlineStr">
        <is>
          <t>This is the FREE single-tab RMD-only view.</t>
        </is>
      </c>
    </row>
    <row r="53" ht="30" customHeight="1">
      <c r="A53" s="21" t="inlineStr">
        <is>
          <t>For year-by-year tax-aware withdrawals (Federal/State/IRMAA/SS-taxation), Roth conversion planning, and side-by-side scenario analysis — see the Upgrade tab.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6">
    <mergeCell ref="A10:C10"/>
    <mergeCell ref="A50:H50"/>
    <mergeCell ref="A53:H53"/>
    <mergeCell ref="A52:H52"/>
    <mergeCell ref="A4:C4"/>
    <mergeCell ref="A17:H17"/>
  </mergeCells>
  <conditionalFormatting sqref="G19:G48">
    <cfRule type="expression" priority="1" dxfId="0">
      <formula>G19&lt;=0</formula>
    </cfRule>
    <cfRule type="expression" priority="2" dxfId="1">
      <formula>G19&gt;0</formula>
    </cfRule>
  </conditionalFormatting>
  <dataValidations count="4">
    <dataValidation sqref="B5" showDropDown="0" showInputMessage="0" showErrorMessage="1" allowBlank="1" errorTitle="Invalid balance" error="Balance must be zero or positive." type="decimal" operator="greaterThanOrEqual">
      <formula1>0</formula1>
    </dataValidation>
    <dataValidation sqref="B6" showDropDown="0" showInputMessage="0" showErrorMessage="1" allowBlank="1" errorTitle="Invalid birth year" error="Enter a 4-digit birth year between 1900 and 2010." type="whole" operator="between">
      <formula1>1900</formula1>
      <formula2>2010</formula2>
    </dataValidation>
    <dataValidation sqref="B7" showDropDown="0" showInputMessage="0" showErrorMessage="1" allowBlank="1" errorTitle="Invalid planning year" error="Enter a calendar year between 2024 and 2100." type="whole" operator="between">
      <formula1>2024</formula1>
      <formula2>2100</formula2>
    </dataValidation>
    <dataValidation sqref="B8" showDropDown="0" showInputMessage="0" showErrorMessage="1" allowBlank="1" errorTitle="Invalid return" error="Enter an annual return between -20% and 50% (e.g. 0.05 = 5%)." type="decimal" operator="between">
      <formula1>-0.2</formula1>
      <formula2>0.5</formula2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50" customWidth="1" min="1" max="1"/>
    <col width="30" customWidth="1" min="2" max="2"/>
    <col width="30" customWidth="1" min="3" max="3"/>
  </cols>
  <sheetData>
    <row r="1">
      <c r="A1" s="1" t="inlineStr">
        <is>
          <t>Upgrade — Retirement Withdrawal Strategy Optimizer</t>
        </is>
      </c>
    </row>
    <row r="2" ht="30" customHeight="1">
      <c r="A2" s="3" t="inlineStr">
        <is>
          <t>This free RMD calculator solves one piece. For the rest of the puzzle: the live calculator at quantcalc.app (PRO $49 lifetime, launch price) or the Withdrawal Optimizer spreadsheet ($12.99) below.</t>
        </is>
      </c>
    </row>
    <row r="3" ht="18" customHeight="1">
      <c r="A3" s="3" t="inlineStr">
        <is>
          <t>It's the spreadsheet QuantCalc uses internally to demo the full retirement-tax picture.</t>
        </is>
      </c>
    </row>
    <row r="5">
      <c r="A5" s="9" t="inlineStr">
        <is>
          <t>Feature</t>
        </is>
      </c>
      <c r="B5" s="9" t="inlineStr">
        <is>
          <t>Free RMD Calculator</t>
        </is>
      </c>
      <c r="C5" s="9" t="inlineStr">
        <is>
          <t>Retirement Withdrawal Optimizer ($12.99)</t>
        </is>
      </c>
    </row>
    <row r="6">
      <c r="A6" s="22" t="inlineStr">
        <is>
          <t>RMD calculation (IRS Uniform Lifetime Table)</t>
        </is>
      </c>
      <c r="B6" s="23" t="inlineStr">
        <is>
          <t>Yes</t>
        </is>
      </c>
      <c r="C6" s="23" t="inlineStr">
        <is>
          <t>Yes</t>
        </is>
      </c>
    </row>
    <row r="7">
      <c r="A7" s="22" t="inlineStr">
        <is>
          <t>Year-by-year projection</t>
        </is>
      </c>
      <c r="B7" s="24" t="inlineStr">
        <is>
          <t>30 years</t>
        </is>
      </c>
      <c r="C7" s="23" t="inlineStr">
        <is>
          <t>50 years</t>
        </is>
      </c>
    </row>
    <row r="8">
      <c r="A8" s="22" t="inlineStr">
        <is>
          <t>Federal tax brackets (2026 IRS Rev. Proc. 2025-32)</t>
        </is>
      </c>
      <c r="B8" s="24" t="inlineStr">
        <is>
          <t>—</t>
        </is>
      </c>
      <c r="C8" s="23" t="inlineStr">
        <is>
          <t>Full progressive</t>
        </is>
      </c>
    </row>
    <row r="9">
      <c r="A9" s="22" t="inlineStr">
        <is>
          <t>Standard deduction + OBBBA $6,000 senior bonus</t>
        </is>
      </c>
      <c r="B9" s="24" t="inlineStr">
        <is>
          <t>—</t>
        </is>
      </c>
      <c r="C9" s="23" t="inlineStr">
        <is>
          <t>Yes (with phase-out)</t>
        </is>
      </c>
    </row>
    <row r="10">
      <c r="A10" s="22" t="inlineStr">
        <is>
          <t>IRMAA Medicare surcharges (2026 CMS)</t>
        </is>
      </c>
      <c r="B10" s="24" t="inlineStr">
        <is>
          <t>—</t>
        </is>
      </c>
      <c r="C10" s="23" t="inlineStr">
        <is>
          <t>Yes, per-spouse</t>
        </is>
      </c>
    </row>
    <row r="11">
      <c r="A11" s="22" t="inlineStr">
        <is>
          <t>Social Security taxation (IRS Pub 915)</t>
        </is>
      </c>
      <c r="B11" s="24" t="inlineStr">
        <is>
          <t>—</t>
        </is>
      </c>
      <c r="C11" s="23" t="inlineStr">
        <is>
          <t>Yes, 0/50/85% tiers</t>
        </is>
      </c>
    </row>
    <row r="12">
      <c r="A12" s="22" t="inlineStr">
        <is>
          <t>State income tax</t>
        </is>
      </c>
      <c r="B12" s="24" t="inlineStr">
        <is>
          <t>—</t>
        </is>
      </c>
      <c r="C12" s="23" t="inlineStr">
        <is>
          <t>Yes, flat rate</t>
        </is>
      </c>
    </row>
    <row r="13">
      <c r="A13" s="22" t="inlineStr">
        <is>
          <t>Tax-efficient withdrawal sequencing</t>
        </is>
      </c>
      <c r="B13" s="24" t="inlineStr">
        <is>
          <t>—</t>
        </is>
      </c>
      <c r="C13" s="23" t="inlineStr">
        <is>
          <t>Trad → Taxable → Roth, RMD-aware</t>
        </is>
      </c>
    </row>
    <row r="14">
      <c r="A14" s="22" t="inlineStr">
        <is>
          <t>Multi-account modeling (Trad + Roth + Taxable)</t>
        </is>
      </c>
      <c r="B14" s="24" t="inlineStr">
        <is>
          <t>—</t>
        </is>
      </c>
      <c r="C14" s="23" t="inlineStr">
        <is>
          <t>Yes</t>
        </is>
      </c>
    </row>
    <row r="15">
      <c r="A15" s="22" t="inlineStr">
        <is>
          <t>Roth balance + Taxable balance tracking</t>
        </is>
      </c>
      <c r="B15" s="24" t="inlineStr">
        <is>
          <t>—</t>
        </is>
      </c>
      <c r="C15" s="23" t="inlineStr">
        <is>
          <t>Yes</t>
        </is>
      </c>
    </row>
    <row r="16">
      <c r="A16" s="22" t="inlineStr">
        <is>
          <t>Spouse age input + per-spouse senior deduction</t>
        </is>
      </c>
      <c r="B16" s="24" t="inlineStr">
        <is>
          <t>—</t>
        </is>
      </c>
      <c r="C16" s="23" t="inlineStr">
        <is>
          <t>Yes</t>
        </is>
      </c>
    </row>
    <row r="17">
      <c r="A17" s="22" t="inlineStr">
        <is>
          <t>Scenario Analysis (Conservative / Moderate / Aggressive)</t>
        </is>
      </c>
      <c r="B17" s="24" t="inlineStr">
        <is>
          <t>—</t>
        </is>
      </c>
      <c r="C17" s="23" t="inlineStr">
        <is>
          <t>Yes</t>
        </is>
      </c>
    </row>
    <row r="18">
      <c r="A18" s="22" t="inlineStr">
        <is>
          <t>Social Security claim-vs-delay break-even</t>
        </is>
      </c>
      <c r="B18" s="24" t="inlineStr">
        <is>
          <t>—</t>
        </is>
      </c>
      <c r="C18" s="23" t="inlineStr">
        <is>
          <t>Yes</t>
        </is>
      </c>
    </row>
    <row r="19">
      <c r="A19" s="22" t="inlineStr">
        <is>
          <t>Personalized strategy insights</t>
        </is>
      </c>
      <c r="B19" s="24" t="inlineStr">
        <is>
          <t>—</t>
        </is>
      </c>
      <c r="C19" s="23" t="inlineStr">
        <is>
          <t>Yes (text-based)</t>
        </is>
      </c>
    </row>
    <row r="20">
      <c r="A20" s="22" t="inlineStr">
        <is>
          <t>Color-coded portfolio health</t>
        </is>
      </c>
      <c r="B20" s="24" t="inlineStr">
        <is>
          <t>Green/red on balance</t>
        </is>
      </c>
      <c r="C20" s="23" t="inlineStr">
        <is>
          <t>Green/yellow/red, multi-criteria</t>
        </is>
      </c>
    </row>
    <row r="21">
      <c r="A21" s="22" t="inlineStr">
        <is>
          <t>Number of input cells</t>
        </is>
      </c>
      <c r="B21" s="24" t="inlineStr">
        <is>
          <t>3</t>
        </is>
      </c>
      <c r="C21" s="23" t="inlineStr">
        <is>
          <t>30+</t>
        </is>
      </c>
    </row>
    <row r="23">
      <c r="A23" s="4" t="inlineStr">
        <is>
          <t>Why $12.99 (and not $49)</t>
        </is>
      </c>
    </row>
    <row r="24" ht="40" customHeight="1">
      <c r="A24" s="3" t="inlineStr">
        <is>
          <t>The Retirement Withdrawal Optimizer was originally listed at $49. We dropped the price to $12.99 in April 2026 to seed reviews from real retirees. Same product, lower price for the launch period.</t>
        </is>
      </c>
    </row>
    <row r="26">
      <c r="A26" s="4" t="inlineStr">
        <is>
          <t>Get it here</t>
        </is>
      </c>
    </row>
    <row r="27">
      <c r="A27" s="25" t="inlineStr">
        <is>
          <t>https://www.etsy.com/shop/QuantCalc — search for 'Retirement Withdrawal Strategy Optimizer'</t>
        </is>
      </c>
    </row>
    <row r="29">
      <c r="A29" s="4" t="inlineStr">
        <is>
          <t>Prefer a live app over spreadsheets?</t>
        </is>
      </c>
    </row>
    <row r="30" ht="30" customHeight="1">
      <c r="A30" s="3" t="inlineStr">
        <is>
          <t>quantcalc.app PRO — 10,000-path Monte Carlo, federal + 51-state tax, IRMAA + ACA cliff modeling, portfolio optimizer, PDF reports. $49 lifetime (launch price), no subscription.</t>
        </is>
      </c>
    </row>
    <row r="31">
      <c r="A31" s="25" t="inlineStr">
        <is>
          <t>https://quantcalc.app</t>
        </is>
      </c>
    </row>
    <row r="33">
      <c r="A33" s="26" t="inlineStr">
        <is>
          <t>Other QuantCalc spreadsheets (all $12.99-$14.99 on Etsy):</t>
        </is>
      </c>
    </row>
    <row r="34">
      <c r="A34" s="3" t="inlineStr">
        <is>
          <t>• Monte Carlo Retirement Planner 2026 (NEW) — 100-path simulation, 8 forecast sources, correlated 5-asset math</t>
        </is>
      </c>
    </row>
    <row r="35">
      <c r="A35" s="3" t="inlineStr">
        <is>
          <t>• FIRE Tax Optimizer — ACA + Roth ladder + IRMAA monitor for early retirees</t>
        </is>
      </c>
    </row>
    <row r="36">
      <c r="A36" s="3" t="inlineStr">
        <is>
          <t>• Social Security Claiming Strategy Calculator — 62 vs 70 break-even + spousal/survivor</t>
        </is>
      </c>
    </row>
    <row r="37">
      <c r="A37" s="3" t="inlineStr">
        <is>
          <t>• Capital Gains Tax-Loss Harvesting Planner — lot tracking + wash-sale monitor</t>
        </is>
      </c>
    </row>
    <row r="38">
      <c r="A38" s="3" t="inlineStr">
        <is>
          <t>• Freelancer Quarterly Tax Estimator — SE tax + QBI + safe harbor 3-leg test</t>
        </is>
      </c>
    </row>
    <row r="39">
      <c r="A39" s="3" t="inlineStr">
        <is>
          <t>• Monte Carlo Portfolio Stress Tester — 500-trial simulation, sequence-of-returns</t>
        </is>
      </c>
    </row>
    <row r="41">
      <c r="A41" s="27" t="inlineStr">
        <is>
          <t>Questions? Email hello@quantcalc.app — replies within 24 hours.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mergeCells count="5">
    <mergeCell ref="A27:C27"/>
    <mergeCell ref="A3:C3"/>
    <mergeCell ref="A30:C30"/>
    <mergeCell ref="A24:C24"/>
    <mergeCell ref="A2:C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50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</cols>
  <sheetData>
    <row r="1">
      <c r="A1" s="28" t="inlineStr">
        <is>
          <t>Age</t>
        </is>
      </c>
      <c r="B1" s="28" t="inlineStr">
        <is>
          <t>Divisor</t>
        </is>
      </c>
    </row>
    <row r="2">
      <c r="A2" t="n">
        <v>72</v>
      </c>
      <c r="B2" s="29" t="n">
        <v>27.4</v>
      </c>
    </row>
    <row r="3">
      <c r="A3" t="n">
        <v>73</v>
      </c>
      <c r="B3" s="29" t="n">
        <v>26.5</v>
      </c>
    </row>
    <row r="4">
      <c r="A4" t="n">
        <v>74</v>
      </c>
      <c r="B4" s="29" t="n">
        <v>25.5</v>
      </c>
    </row>
    <row r="5">
      <c r="A5" t="n">
        <v>75</v>
      </c>
      <c r="B5" s="29" t="n">
        <v>24.6</v>
      </c>
    </row>
    <row r="6">
      <c r="A6" t="n">
        <v>76</v>
      </c>
      <c r="B6" s="29" t="n">
        <v>23.7</v>
      </c>
    </row>
    <row r="7">
      <c r="A7" t="n">
        <v>77</v>
      </c>
      <c r="B7" s="29" t="n">
        <v>22.9</v>
      </c>
    </row>
    <row r="8">
      <c r="A8" t="n">
        <v>78</v>
      </c>
      <c r="B8" s="29" t="n">
        <v>22</v>
      </c>
    </row>
    <row r="9">
      <c r="A9" t="n">
        <v>79</v>
      </c>
      <c r="B9" s="29" t="n">
        <v>21.1</v>
      </c>
    </row>
    <row r="10">
      <c r="A10" t="n">
        <v>80</v>
      </c>
      <c r="B10" s="29" t="n">
        <v>20.2</v>
      </c>
    </row>
    <row r="11">
      <c r="A11" t="n">
        <v>81</v>
      </c>
      <c r="B11" s="29" t="n">
        <v>19.4</v>
      </c>
    </row>
    <row r="12">
      <c r="A12" t="n">
        <v>82</v>
      </c>
      <c r="B12" s="29" t="n">
        <v>18.5</v>
      </c>
    </row>
    <row r="13">
      <c r="A13" t="n">
        <v>83</v>
      </c>
      <c r="B13" s="29" t="n">
        <v>17.7</v>
      </c>
    </row>
    <row r="14">
      <c r="A14" t="n">
        <v>84</v>
      </c>
      <c r="B14" s="29" t="n">
        <v>16.8</v>
      </c>
    </row>
    <row r="15">
      <c r="A15" t="n">
        <v>85</v>
      </c>
      <c r="B15" s="29" t="n">
        <v>16</v>
      </c>
    </row>
    <row r="16">
      <c r="A16" t="n">
        <v>86</v>
      </c>
      <c r="B16" s="29" t="n">
        <v>15.2</v>
      </c>
    </row>
    <row r="17">
      <c r="A17" t="n">
        <v>87</v>
      </c>
      <c r="B17" s="29" t="n">
        <v>14.4</v>
      </c>
    </row>
    <row r="18">
      <c r="A18" t="n">
        <v>88</v>
      </c>
      <c r="B18" s="29" t="n">
        <v>13.7</v>
      </c>
    </row>
    <row r="19">
      <c r="A19" t="n">
        <v>89</v>
      </c>
      <c r="B19" s="29" t="n">
        <v>12.9</v>
      </c>
    </row>
    <row r="20">
      <c r="A20" t="n">
        <v>90</v>
      </c>
      <c r="B20" s="29" t="n">
        <v>12.2</v>
      </c>
    </row>
    <row r="21">
      <c r="A21" t="n">
        <v>91</v>
      </c>
      <c r="B21" s="29" t="n">
        <v>11.5</v>
      </c>
    </row>
    <row r="22">
      <c r="A22" t="n">
        <v>92</v>
      </c>
      <c r="B22" s="29" t="n">
        <v>10.8</v>
      </c>
    </row>
    <row r="23">
      <c r="A23" t="n">
        <v>93</v>
      </c>
      <c r="B23" s="29" t="n">
        <v>10.1</v>
      </c>
    </row>
    <row r="24">
      <c r="A24" t="n">
        <v>94</v>
      </c>
      <c r="B24" s="29" t="n">
        <v>9.5</v>
      </c>
    </row>
    <row r="25">
      <c r="A25" t="n">
        <v>95</v>
      </c>
      <c r="B25" s="29" t="n">
        <v>8.9</v>
      </c>
    </row>
    <row r="26">
      <c r="A26" t="n">
        <v>96</v>
      </c>
      <c r="B26" s="29" t="n">
        <v>8.4</v>
      </c>
    </row>
    <row r="27">
      <c r="A27" t="n">
        <v>97</v>
      </c>
      <c r="B27" s="29" t="n">
        <v>7.8</v>
      </c>
    </row>
    <row r="28">
      <c r="A28" t="n">
        <v>98</v>
      </c>
      <c r="B28" s="29" t="n">
        <v>7.3</v>
      </c>
    </row>
    <row r="29">
      <c r="A29" t="n">
        <v>99</v>
      </c>
      <c r="B29" s="29" t="n">
        <v>6.8</v>
      </c>
    </row>
    <row r="30">
      <c r="A30" t="n">
        <v>100</v>
      </c>
      <c r="B30" s="29" t="n">
        <v>6.4</v>
      </c>
    </row>
    <row r="31">
      <c r="A31" t="n">
        <v>101</v>
      </c>
      <c r="B31" s="29" t="n">
        <v>6</v>
      </c>
    </row>
    <row r="32">
      <c r="A32" t="n">
        <v>102</v>
      </c>
      <c r="B32" s="29" t="n">
        <v>5.6</v>
      </c>
    </row>
    <row r="33">
      <c r="A33" t="n">
        <v>103</v>
      </c>
      <c r="B33" s="29" t="n">
        <v>5.2</v>
      </c>
    </row>
    <row r="34">
      <c r="A34" t="n">
        <v>104</v>
      </c>
      <c r="B34" s="29" t="n">
        <v>4.9</v>
      </c>
    </row>
    <row r="35">
      <c r="A35" t="n">
        <v>105</v>
      </c>
      <c r="B35" s="29" t="n">
        <v>4.6</v>
      </c>
    </row>
    <row r="36">
      <c r="A36" t="n">
        <v>106</v>
      </c>
      <c r="B36" s="29" t="n">
        <v>4.3</v>
      </c>
    </row>
    <row r="37">
      <c r="A37" t="n">
        <v>107</v>
      </c>
      <c r="B37" s="29" t="n">
        <v>4.1</v>
      </c>
    </row>
    <row r="38">
      <c r="A38" t="n">
        <v>108</v>
      </c>
      <c r="B38" s="29" t="n">
        <v>3.9</v>
      </c>
    </row>
    <row r="39">
      <c r="A39" t="n">
        <v>109</v>
      </c>
      <c r="B39" s="29" t="n">
        <v>3.7</v>
      </c>
    </row>
    <row r="40">
      <c r="A40" t="n">
        <v>110</v>
      </c>
      <c r="B40" s="29" t="n">
        <v>3.5</v>
      </c>
    </row>
    <row r="41">
      <c r="A41" t="n">
        <v>111</v>
      </c>
      <c r="B41" s="29" t="n">
        <v>3.4</v>
      </c>
    </row>
    <row r="42">
      <c r="A42" t="n">
        <v>112</v>
      </c>
      <c r="B42" s="29" t="n">
        <v>3.3</v>
      </c>
    </row>
    <row r="43">
      <c r="A43" t="n">
        <v>113</v>
      </c>
      <c r="B43" s="29" t="n">
        <v>3.1</v>
      </c>
    </row>
    <row r="44">
      <c r="A44" t="n">
        <v>114</v>
      </c>
      <c r="B44" s="29" t="n">
        <v>3</v>
      </c>
    </row>
    <row r="45">
      <c r="A45" t="n">
        <v>115</v>
      </c>
      <c r="B45" s="29" t="n">
        <v>2.9</v>
      </c>
    </row>
    <row r="46">
      <c r="A46" t="n">
        <v>116</v>
      </c>
      <c r="B46" s="29" t="n">
        <v>2.8</v>
      </c>
    </row>
    <row r="47">
      <c r="A47" t="n">
        <v>117</v>
      </c>
      <c r="B47" s="29" t="n">
        <v>2.7</v>
      </c>
    </row>
    <row r="48">
      <c r="A48" t="n">
        <v>118</v>
      </c>
      <c r="B48" s="29" t="n">
        <v>2.5</v>
      </c>
    </row>
    <row r="49">
      <c r="A49" t="n">
        <v>119</v>
      </c>
      <c r="B49" s="29" t="n">
        <v>2.3</v>
      </c>
    </row>
    <row r="50">
      <c r="A50" t="n">
        <v>120</v>
      </c>
      <c r="B50" s="29" t="n">
        <v>2</v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2026-06-10T18:17:56Z</dcterms:created>
  <dcterms:modified xmlns:dcterms="http://purl.org/dc/terms/" xmlns:xsi="http://www.w3.org/2001/XMLSchema-instance" xsi:type="dcterms:W3CDTF">2026-06-10T18:17:56Z</dcterms:modified>
</cp:coreProperties>
</file>